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cromental\Documents\Excel\Keep Safe Care\Licensee Info\"/>
    </mc:Choice>
  </mc:AlternateContent>
  <xr:revisionPtr revIDLastSave="0" documentId="13_ncr:1_{07710E42-2855-48CB-8703-7876A005EB2B}" xr6:coauthVersionLast="47" xr6:coauthVersionMax="47" xr10:uidLastSave="{00000000-0000-0000-0000-000000000000}"/>
  <workbookProtection workbookAlgorithmName="SHA-512" workbookHashValue="z2xmGkT25l1moV9ioggVfa71quv2jc9xKpCiKu9ZGYIkq4IYn8tb8ioPkAoj5Hs2CWBHwbEW7mLXkhdRGdFHOQ==" workbookSaltValue="8ugnQBJ44jI/cIGwjNkDiw==" workbookSpinCount="100000" lockStructure="1"/>
  <bookViews>
    <workbookView xWindow="-108" yWindow="-108" windowWidth="23256" windowHeight="13176" firstSheet="1" activeTab="1" xr2:uid="{00000000-000D-0000-FFFF-FFFF00000000}"/>
  </bookViews>
  <sheets>
    <sheet name="_SSC" sheetId="4" state="veryHidden" r:id="rId1"/>
    <sheet name="Client Rate" sheetId="8" r:id="rId2"/>
    <sheet name="Revenues Variables" sheetId="5" r:id="rId3"/>
  </sheets>
  <definedNames>
    <definedName name="_Ctrl_1" localSheetId="1" hidden="1">'Client Rate'!$D$9</definedName>
    <definedName name="_Ctrl_1" localSheetId="2" hidden="1">'Revenues Variables'!$C$22</definedName>
    <definedName name="_Ctrl_1" hidden="1">#REF!</definedName>
    <definedName name="_Ctrl_2" localSheetId="1" hidden="1">'Client Rate'!#REF!</definedName>
    <definedName name="_Ctrl_2" localSheetId="2" hidden="1">'Revenues Variables'!#REF!</definedName>
    <definedName name="_Ctrl_2" hidden="1">#REF!</definedName>
    <definedName name="_xlnm.Print_Area" localSheetId="1">'Client Rate'!$A$1:$J$20</definedName>
  </definedNames>
  <calcPr calcId="181029"/>
  <fileRecoveryPr autoRecover="0"/>
</workbook>
</file>

<file path=xl/calcChain.xml><?xml version="1.0" encoding="utf-8"?>
<calcChain xmlns="http://schemas.openxmlformats.org/spreadsheetml/2006/main">
  <c r="C10" i="8" l="1"/>
  <c r="D14" i="8" s="1"/>
  <c r="B11" i="5" l="1"/>
  <c r="B3" i="5"/>
  <c r="B6" i="5"/>
  <c r="B7" i="5"/>
  <c r="B10" i="5" s="1"/>
  <c r="B4" i="5" l="1"/>
  <c r="B5" i="5"/>
  <c r="B9" i="5" s="1"/>
  <c r="B14" i="5" s="1"/>
  <c r="H2" i="5"/>
  <c r="G2" i="5"/>
  <c r="F2" i="5"/>
  <c r="E2" i="5"/>
  <c r="D2" i="5"/>
  <c r="J4" i="5" l="1"/>
  <c r="B8" i="5" l="1"/>
  <c r="C14" i="8" s="1"/>
  <c r="C7" i="8" l="1"/>
  <c r="C8" i="8" s="1"/>
  <c r="F5" i="5" l="1"/>
  <c r="B15" i="5" l="1"/>
  <c r="B16" i="5" s="1"/>
  <c r="B13" i="5"/>
  <c r="G5" i="5"/>
  <c r="H5" i="5"/>
  <c r="B12" i="5"/>
  <c r="D5" i="5"/>
  <c r="E5" i="5"/>
  <c r="H3" i="5" l="1"/>
  <c r="H4" i="5" s="1"/>
  <c r="C6" i="8"/>
  <c r="C9" i="8" s="1"/>
  <c r="G3" i="5"/>
  <c r="G4" i="5" s="1"/>
  <c r="E3" i="5"/>
  <c r="E4" i="5" s="1"/>
  <c r="F3" i="5"/>
  <c r="F4" i="5" s="1"/>
  <c r="D3" i="5"/>
  <c r="D4" i="5" s="1"/>
</calcChain>
</file>

<file path=xl/sharedStrings.xml><?xml version="1.0" encoding="utf-8"?>
<sst xmlns="http://schemas.openxmlformats.org/spreadsheetml/2006/main" count="61" uniqueCount="57">
  <si>
    <t>{"Captcha":{"Heading":"Enter the number displayed below.","Message":"This is to verify that you are a human visitor, to prevent automated form submissions.","OkButton":"OK","CancelButton":"Cancel","ErrorMessage":"Your answer is incorrect, please try again."},"RequiredField":{"ErrorMessage":"The fields with the red border are required.","OkButton":"OK"},"WizardButton":{"Next":"Next","Previous":"Previous","Cancel":"Cancel","Finish":"Finish"},"ToolbarButton":{"Submit":"Submit","Print":"Print","PrintAll":"Print All","Reset":"Reset","Update":"Update"},"BrowserAndLocation":{"Browsers":[],"ConversionPath":"C:\\Users\\Jeffrey\\Documents\\SpreadsheetConverter"},"AdvancedSettingsModels":[{"Name":2,"Checked":true,"Text":null,"Double":null,"Value":null},{"Name":3,"Checked":false,"Text":null,"Double":null,"Value":null}]}</t>
  </si>
  <si>
    <t>{"ButtonStyle":0,"Name":"","HideSscPoweredlogo":false,"CopyProtect":{"IsEnabled":false,"DomainName":""},"Theme":{"BgColor":"#ffffffff","BgImage":""},"Layout":0,"SmartphoneSettings":{"ViewportLock":true,"UseOldViewEngine":false,"EnableZoom":false,"HideToolbar":false},"SmartphoneTheme":0,"InputDetection":0,"Toolbar":{"Position":1,"IsSubmit":true,"IsPrint":true,"IsPrintAll":false,"IsReset":true,"IsUpdate":true},"AspnetConfig":{"BrowseUrl":"http://localhost/ssc","FileExtension":0},"ConfigureSubmit":{"IsShowCaptcha":false,"IsUseSscWebServer":true,"ReceiverCode":"","IsFreeService":false,"IsAdvanceService":false,"IsDemonstrationService":true,"AfterSuccessfulSubmit":"","AfterFailSubmit":"","AfterCancelWizard":"","IsUseOwnWebServer":false,"OwnWebServerURL":"","OwnWebServerTarget":""},"Flavor":0,"Edition":0,"IgnoreBgInputCell":false}</t>
  </si>
  <si>
    <t>_Ctrl_1</t>
  </si>
  <si>
    <t>{"WidgetClassification":3,"HyperlinkFlavor":1,"Placement":0,"LinkTarget":0,"ControlId":null,"CellName":"_Ctrl_1","CellAddress":"='Sheet2'!$D$11","WidgetName":8,"HiddenRow":1,"SheetCodeName":null,"State":1}</t>
  </si>
  <si>
    <t>_Ctrl_2</t>
  </si>
  <si>
    <t>{"WidgetClassification":3,"HyperlinkFlavor":1,"Placement":0,"LinkTarget":0,"ControlId":null,"CellName":"_Ctrl_2","CellAddress":"='Sheet2'!$C$6","WidgetName":8,"HiddenRow":2,"SheetCodeName":null,"State":1}</t>
  </si>
  <si>
    <t>{"IsHide":true,"SheetId":3,"Name":"Agency","HiddenRow":3,"VisibleRange":"","SheetTheme":{"TabColor":"","BodyColor":"","BodyImage":""}}</t>
  </si>
  <si>
    <t>{"IsHide":false,"SheetId":1,"Name":"Dashboard","HiddenRow":1,"VisibleRange":"","SheetTheme":{"TabColor":"","BodyColor":"","BodyImage":""}}</t>
  </si>
  <si>
    <t>{"IsHide":true,"SheetId":2,"Name":"Comparisions","HiddenRow":2,"VisibleRange":"","SheetTheme":{"TabColor":"","BodyColor":"","BodyImage":""}}</t>
  </si>
  <si>
    <t>Hours Per Week</t>
  </si>
  <si>
    <t>Including tax obligations</t>
  </si>
  <si>
    <t>Salary of Caregiver</t>
  </si>
  <si>
    <t>What Keep Safe Care Pays Caregiver</t>
  </si>
  <si>
    <t>Keep Safe Care Rate</t>
  </si>
  <si>
    <t>Gross Margin Weekly</t>
  </si>
  <si>
    <t>Gross Margin Monthly</t>
  </si>
  <si>
    <t>What the Client is Charged</t>
  </si>
  <si>
    <t>Gross Margin Yearly</t>
  </si>
  <si>
    <t>The gross delta of Revenues minus Wage Expenses</t>
  </si>
  <si>
    <t>The gross delta of Revenues minus All Expenses</t>
  </si>
  <si>
    <t>Weekly charge to Client</t>
  </si>
  <si>
    <t>Deducting for SSI (6.2%) and Medicare (1.45%) and Fed Tax (12%)</t>
  </si>
  <si>
    <t>GC Take Home Wkly</t>
  </si>
  <si>
    <t>Adjusted Margin Hourly</t>
  </si>
  <si>
    <t>Caregiver Wages</t>
  </si>
  <si>
    <t>Billings</t>
  </si>
  <si>
    <t>Rate to Client</t>
  </si>
  <si>
    <t>What KSC should Charge</t>
  </si>
  <si>
    <t>Delta Client Hourly Rate</t>
  </si>
  <si>
    <t>What KSC is Charging Client per hour</t>
  </si>
  <si>
    <t>Number of hours per week care is needed</t>
  </si>
  <si>
    <t>KEEP SAFE CARE WAGE / COST CALCULATOR</t>
  </si>
  <si>
    <t xml:space="preserve">Salary of Caregiver  </t>
  </si>
  <si>
    <t>Delta to use for estimation of costs that should be added to Rate</t>
  </si>
  <si>
    <t>Calculated amount to insure profit of between $4.5 and $10 per hour (sliding fee, less hours more margin)</t>
  </si>
  <si>
    <t>Weekly Charge to Client</t>
  </si>
  <si>
    <t>Weekly Credit Card Charge (hours x rate)</t>
  </si>
  <si>
    <t>All Costs to KSC for CG with Taxes including SSI (6.2%), Medicare (1.45%) Federal UI (0.6%),State UI (1%)</t>
  </si>
  <si>
    <t>All Costs to KSC for CG with Taxes including SSI (6.2%), Medicare (1.45%) and KSCD ($2)</t>
  </si>
  <si>
    <t>Weekly Margin Dollars based on Census</t>
  </si>
  <si>
    <t xml:space="preserve">Note: Typcially start at $32/hours for 20 hours per week for Non-Medical Home Care </t>
  </si>
  <si>
    <t xml:space="preserve">Note: Remember to add the $10 per trip fee to the hourly rate to calculate the 2/3s rule. </t>
  </si>
  <si>
    <t>Profit Per hour (want to stay above $6.50/hr)</t>
  </si>
  <si>
    <t>Number of Weekly Trips</t>
  </si>
  <si>
    <t>You can insert any amount in client rate to see the profit per client per hours</t>
  </si>
  <si>
    <t>Effective KSC CG Rate (inc Taxes)</t>
  </si>
  <si>
    <t>Weekly Profit (want to stay above $100 per week for over 12 hours)</t>
  </si>
  <si>
    <t>KSCD Fees</t>
  </si>
  <si>
    <t>$2 per Hour + $5 per Invoice Fee</t>
  </si>
  <si>
    <t>What KCS is Paying Caregiver</t>
  </si>
  <si>
    <t>Hourly Profit to KSC AFF</t>
  </si>
  <si>
    <t>Weekly Profit to KSC AFF</t>
  </si>
  <si>
    <t>What KSC AFF Pays CG Hrly</t>
  </si>
  <si>
    <t>REVENUE &amp; COST ESTIMATIONS</t>
  </si>
  <si>
    <t>Revenues - CG Payment - KSC AFF Tax Obligations - KSCD Fees</t>
  </si>
  <si>
    <t>KSC AFF Weekly Expense for CG</t>
  </si>
  <si>
    <t>KSC AFF Gross Margin Hourly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</si>
</sst>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  <numFmt numFmtId="165" formatCode="0.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i/>
      <sz val="9"/>
      <color theme="1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4"/>
      <color rgb="FFFF0000"/>
      <name val="Aileron Black"/>
      <family val="3"/>
    </font>
    <font>
      <b/>
      <sz val="14"/>
      <color theme="1"/>
      <name val="Aileron Black"/>
      <family val="3"/>
    </font>
    <font>
      <b/>
      <sz val="14"/>
      <color rgb="FF66FF33"/>
      <name val="Aileron Black"/>
      <family val="3"/>
    </font>
    <font>
      <b/>
      <sz val="14"/>
      <color theme="0"/>
      <name val="Aileron Black"/>
      <family val="3"/>
    </font>
    <font>
      <b/>
      <sz val="28"/>
      <color theme="1"/>
      <name val="Calibri"/>
      <family val="2"/>
      <scheme val="minor"/>
    </font>
    <font>
      <b/>
      <sz val="14"/>
      <color rgb="FF00B0F0"/>
      <name val="Aileron Black"/>
      <family val="3"/>
    </font>
  </fonts>
  <fills count="1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66FF33"/>
        <bgColor indexed="64"/>
      </patternFill>
    </fill>
    <fill>
      <patternFill patternType="solid">
        <fgColor rgb="FFFFD1FF"/>
        <bgColor indexed="64"/>
      </patternFill>
    </fill>
    <fill>
      <patternFill patternType="solid">
        <fgColor rgb="FFFFC1C1"/>
        <bgColor indexed="64"/>
      </patternFill>
    </fill>
    <fill>
      <patternFill patternType="solid">
        <fgColor rgb="FFA3E7FF"/>
        <bgColor indexed="64"/>
      </patternFill>
    </fill>
    <fill>
      <patternFill patternType="solid">
        <fgColor rgb="FFFFFFD1"/>
        <bgColor indexed="64"/>
      </patternFill>
    </fill>
    <fill>
      <patternFill patternType="solid">
        <fgColor rgb="FFABFFD1"/>
        <bgColor indexed="64"/>
      </patternFill>
    </fill>
    <fill>
      <patternFill patternType="solid">
        <fgColor rgb="FFFF0000"/>
        <bgColor indexed="64"/>
      </patternFill>
    </fill>
    <fill>
      <patternFill patternType="lightGray">
        <fgColor theme="2" tint="-9.9948118533890809E-2"/>
        <bgColor theme="0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  <xf numFmtId="9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right" vertical="center" wrapText="1"/>
    </xf>
    <xf numFmtId="8" fontId="4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vertical="center"/>
    </xf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vertical="center" wrapText="1"/>
    </xf>
    <xf numFmtId="8" fontId="10" fillId="0" borderId="0" xfId="0" applyNumberFormat="1" applyFont="1" applyAlignment="1">
      <alignment horizontal="center" vertical="center" wrapText="1"/>
    </xf>
    <xf numFmtId="1" fontId="0" fillId="0" borderId="0" xfId="0" applyNumberFormat="1" applyAlignment="1">
      <alignment vertical="center"/>
    </xf>
    <xf numFmtId="8" fontId="5" fillId="3" borderId="0" xfId="0" applyNumberFormat="1" applyFont="1" applyFill="1" applyAlignment="1" applyProtection="1">
      <alignment horizontal="center" vertical="center" wrapText="1"/>
      <protection locked="0"/>
    </xf>
    <xf numFmtId="8" fontId="9" fillId="0" borderId="0" xfId="0" applyNumberFormat="1" applyFont="1" applyAlignment="1">
      <alignment horizontal="center" vertical="center"/>
    </xf>
    <xf numFmtId="0" fontId="0" fillId="5" borderId="3" xfId="0" applyFill="1" applyBorder="1" applyAlignment="1">
      <alignment horizontal="center" vertical="center" wrapText="1"/>
    </xf>
    <xf numFmtId="0" fontId="0" fillId="6" borderId="3" xfId="0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0" fillId="8" borderId="3" xfId="0" applyFill="1" applyBorder="1" applyAlignment="1">
      <alignment horizontal="center" vertical="center" wrapText="1"/>
    </xf>
    <xf numFmtId="0" fontId="0" fillId="9" borderId="3" xfId="0" applyFill="1" applyBorder="1" applyAlignment="1">
      <alignment horizontal="center" vertical="center" wrapText="1"/>
    </xf>
    <xf numFmtId="6" fontId="9" fillId="0" borderId="0" xfId="0" applyNumberFormat="1" applyFont="1" applyAlignment="1">
      <alignment horizontal="center" vertical="center"/>
    </xf>
    <xf numFmtId="0" fontId="9" fillId="9" borderId="6" xfId="0" applyFont="1" applyFill="1" applyBorder="1" applyAlignment="1">
      <alignment horizontal="center" vertical="center" wrapText="1"/>
    </xf>
    <xf numFmtId="2" fontId="9" fillId="5" borderId="3" xfId="0" applyNumberFormat="1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9" fillId="8" borderId="3" xfId="0" applyFont="1" applyFill="1" applyBorder="1" applyAlignment="1">
      <alignment horizontal="center" vertical="center" wrapText="1"/>
    </xf>
    <xf numFmtId="8" fontId="0" fillId="0" borderId="0" xfId="0" applyNumberFormat="1" applyAlignment="1">
      <alignment horizontal="center" wrapText="1"/>
    </xf>
    <xf numFmtId="6" fontId="9" fillId="5" borderId="7" xfId="0" applyNumberFormat="1" applyFont="1" applyFill="1" applyBorder="1" applyAlignment="1">
      <alignment horizontal="center" vertical="center"/>
    </xf>
    <xf numFmtId="6" fontId="9" fillId="6" borderId="7" xfId="0" applyNumberFormat="1" applyFont="1" applyFill="1" applyBorder="1" applyAlignment="1">
      <alignment horizontal="center" vertical="center"/>
    </xf>
    <xf numFmtId="6" fontId="9" fillId="7" borderId="7" xfId="0" applyNumberFormat="1" applyFont="1" applyFill="1" applyBorder="1" applyAlignment="1">
      <alignment horizontal="center" vertical="center"/>
    </xf>
    <xf numFmtId="6" fontId="9" fillId="8" borderId="7" xfId="0" applyNumberFormat="1" applyFont="1" applyFill="1" applyBorder="1" applyAlignment="1">
      <alignment horizontal="center" vertical="center"/>
    </xf>
    <xf numFmtId="6" fontId="9" fillId="9" borderId="7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wrapText="1" indent="1"/>
    </xf>
    <xf numFmtId="8" fontId="13" fillId="0" borderId="8" xfId="2" applyNumberFormat="1" applyFont="1" applyFill="1" applyBorder="1" applyAlignment="1" applyProtection="1">
      <alignment horizontal="center" vertical="center" wrapText="1"/>
    </xf>
    <xf numFmtId="8" fontId="0" fillId="0" borderId="0" xfId="0" applyNumberFormat="1" applyAlignment="1">
      <alignment vertical="center"/>
    </xf>
    <xf numFmtId="8" fontId="14" fillId="10" borderId="8" xfId="2" applyNumberFormat="1" applyFont="1" applyFill="1" applyBorder="1" applyAlignment="1" applyProtection="1">
      <alignment horizontal="center" vertical="center" wrapText="1"/>
    </xf>
    <xf numFmtId="164" fontId="11" fillId="0" borderId="8" xfId="1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>
      <alignment horizontal="left" vertical="center" wrapText="1" indent="1"/>
    </xf>
    <xf numFmtId="0" fontId="5" fillId="0" borderId="0" xfId="0" applyFont="1" applyAlignment="1">
      <alignment horizontal="right" vertical="center" wrapText="1" indent="2"/>
    </xf>
    <xf numFmtId="1" fontId="12" fillId="11" borderId="8" xfId="2" applyNumberFormat="1" applyFont="1" applyFill="1" applyBorder="1" applyAlignment="1" applyProtection="1">
      <alignment horizontal="center" vertical="center" wrapText="1"/>
      <protection locked="0"/>
    </xf>
    <xf numFmtId="8" fontId="11" fillId="11" borderId="8" xfId="2" applyNumberFormat="1" applyFont="1" applyFill="1" applyBorder="1" applyAlignment="1" applyProtection="1">
      <alignment horizontal="center" vertical="center" wrapText="1"/>
      <protection locked="0"/>
    </xf>
    <xf numFmtId="8" fontId="16" fillId="11" borderId="8" xfId="2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vertical="center"/>
    </xf>
    <xf numFmtId="8" fontId="12" fillId="4" borderId="8" xfId="2" applyNumberFormat="1" applyFont="1" applyFill="1" applyBorder="1" applyAlignment="1" applyProtection="1">
      <alignment horizontal="center" vertical="center" wrapText="1"/>
    </xf>
    <xf numFmtId="8" fontId="12" fillId="12" borderId="8" xfId="2" applyNumberFormat="1" applyFont="1" applyFill="1" applyBorder="1" applyAlignment="1" applyProtection="1">
      <alignment horizontal="center" vertical="center" wrapText="1"/>
    </xf>
    <xf numFmtId="8" fontId="11" fillId="4" borderId="2" xfId="2" applyNumberFormat="1" applyFont="1" applyFill="1" applyBorder="1" applyAlignment="1" applyProtection="1">
      <alignment horizontal="center" vertical="center" wrapText="1"/>
    </xf>
    <xf numFmtId="0" fontId="0" fillId="13" borderId="0" xfId="0" applyFill="1" applyAlignment="1">
      <alignment wrapText="1"/>
    </xf>
    <xf numFmtId="0" fontId="0" fillId="13" borderId="0" xfId="0" applyFill="1" applyAlignment="1">
      <alignment horizontal="center" wrapText="1"/>
    </xf>
    <xf numFmtId="0" fontId="5" fillId="14" borderId="0" xfId="0" applyFont="1" applyFill="1" applyAlignment="1">
      <alignment vertical="center"/>
    </xf>
    <xf numFmtId="0" fontId="0" fillId="14" borderId="0" xfId="0" applyFill="1" applyAlignment="1">
      <alignment wrapText="1"/>
    </xf>
    <xf numFmtId="9" fontId="4" fillId="0" borderId="0" xfId="3" applyFont="1" applyAlignment="1">
      <alignment horizontal="left" vertical="center" wrapText="1" indent="1"/>
    </xf>
    <xf numFmtId="9" fontId="0" fillId="0" borderId="0" xfId="3" applyFont="1" applyAlignment="1">
      <alignment vertical="center"/>
    </xf>
    <xf numFmtId="0" fontId="1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0" xfId="0" applyFont="1" applyAlignment="1">
      <alignment horizontal="center" wrapText="1"/>
    </xf>
    <xf numFmtId="165" fontId="12" fillId="11" borderId="8" xfId="2" applyNumberFormat="1" applyFont="1" applyFill="1" applyBorder="1" applyAlignment="1" applyProtection="1">
      <alignment horizontal="center" vertical="center" wrapText="1"/>
      <protection locked="0"/>
    </xf>
    <xf numFmtId="165" fontId="11" fillId="4" borderId="2" xfId="2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 wrapText="1"/>
    </xf>
  </cellXfs>
  <cellStyles count="4">
    <cellStyle name="Currency" xfId="1" builtinId="4"/>
    <cellStyle name="Input" xfId="2" builtinId="20"/>
    <cellStyle name="Normal" xfId="0" builtinId="0"/>
    <cellStyle name="Percent" xfId="3" builtinId="5"/>
  </cellStyles>
  <dxfs count="8"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theme="0"/>
      </font>
      <fill>
        <patternFill>
          <bgColor rgb="FFFF0000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mruColors>
      <color rgb="FF66FF33"/>
      <color rgb="FFFFD1FF"/>
      <color rgb="FF663300"/>
      <color rgb="FFFFFFCC"/>
      <color rgb="FFABFFD1"/>
      <color rgb="FFFFFFD1"/>
      <color rgb="FFA3E7FF"/>
      <color rgb="FFFFC1C1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2080260</xdr:colOff>
      <xdr:row>0</xdr:row>
      <xdr:rowOff>106680</xdr:rowOff>
    </xdr:from>
    <xdr:to>
      <xdr:col>3</xdr:col>
      <xdr:colOff>2976727</xdr:colOff>
      <xdr:row>1</xdr:row>
      <xdr:rowOff>74743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AC64975-F9AA-4D3F-8F25-C0FD9909F6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3640" y="106680"/>
          <a:ext cx="4096867" cy="768163"/>
        </a:xfrm>
        <a:prstGeom prst="rect">
          <a:avLst/>
        </a:prstGeom>
      </xdr:spPr>
    </xdr:pic>
    <xdr:clientData/>
  </xdr:twoCellAnchor>
  <xdr:twoCellAnchor>
    <xdr:from>
      <xdr:col>1</xdr:col>
      <xdr:colOff>548640</xdr:colOff>
      <xdr:row>2</xdr:row>
      <xdr:rowOff>38100</xdr:rowOff>
    </xdr:from>
    <xdr:to>
      <xdr:col>1</xdr:col>
      <xdr:colOff>2103120</xdr:colOff>
      <xdr:row>2</xdr:row>
      <xdr:rowOff>403860</xdr:rowOff>
    </xdr:to>
    <xdr:sp macro="" textlink="">
      <xdr:nvSpPr>
        <xdr:cNvPr id="5" name="Arrow: Striped Right 4">
          <a:extLst>
            <a:ext uri="{FF2B5EF4-FFF2-40B4-BE49-F238E27FC236}">
              <a16:creationId xmlns:a16="http://schemas.microsoft.com/office/drawing/2014/main" id="{715CA824-6952-461D-B053-3FB65700C0AD}"/>
            </a:ext>
          </a:extLst>
        </xdr:cNvPr>
        <xdr:cNvSpPr/>
      </xdr:nvSpPr>
      <xdr:spPr>
        <a:xfrm>
          <a:off x="2781300" y="1546860"/>
          <a:ext cx="1554480" cy="365760"/>
        </a:xfrm>
        <a:prstGeom prst="stripedRightArrow">
          <a:avLst>
            <a:gd name="adj1" fmla="val 56944"/>
            <a:gd name="adj2" fmla="val 7291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365760</xdr:colOff>
      <xdr:row>3</xdr:row>
      <xdr:rowOff>38100</xdr:rowOff>
    </xdr:from>
    <xdr:to>
      <xdr:col>1</xdr:col>
      <xdr:colOff>2103120</xdr:colOff>
      <xdr:row>3</xdr:row>
      <xdr:rowOff>403860</xdr:rowOff>
    </xdr:to>
    <xdr:sp macro="" textlink="">
      <xdr:nvSpPr>
        <xdr:cNvPr id="8" name="Arrow: Striped Right 7">
          <a:extLst>
            <a:ext uri="{FF2B5EF4-FFF2-40B4-BE49-F238E27FC236}">
              <a16:creationId xmlns:a16="http://schemas.microsoft.com/office/drawing/2014/main" id="{E47396C4-1F5B-46DF-9CCC-988DA3A4E0A1}"/>
            </a:ext>
          </a:extLst>
        </xdr:cNvPr>
        <xdr:cNvSpPr/>
      </xdr:nvSpPr>
      <xdr:spPr>
        <a:xfrm>
          <a:off x="2598420" y="1965960"/>
          <a:ext cx="1737360" cy="365760"/>
        </a:xfrm>
        <a:prstGeom prst="stripedRightArrow">
          <a:avLst>
            <a:gd name="adj1" fmla="val 56944"/>
            <a:gd name="adj2" fmla="val 7291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1</xdr:col>
      <xdr:colOff>731520</xdr:colOff>
      <xdr:row>4</xdr:row>
      <xdr:rowOff>38100</xdr:rowOff>
    </xdr:from>
    <xdr:to>
      <xdr:col>1</xdr:col>
      <xdr:colOff>2103120</xdr:colOff>
      <xdr:row>4</xdr:row>
      <xdr:rowOff>403860</xdr:rowOff>
    </xdr:to>
    <xdr:sp macro="" textlink="">
      <xdr:nvSpPr>
        <xdr:cNvPr id="9" name="Arrow: Striped Right 8">
          <a:extLst>
            <a:ext uri="{FF2B5EF4-FFF2-40B4-BE49-F238E27FC236}">
              <a16:creationId xmlns:a16="http://schemas.microsoft.com/office/drawing/2014/main" id="{5AD870D0-C03B-4A27-A2E1-8740DA214346}"/>
            </a:ext>
          </a:extLst>
        </xdr:cNvPr>
        <xdr:cNvSpPr/>
      </xdr:nvSpPr>
      <xdr:spPr>
        <a:xfrm>
          <a:off x="2964180" y="2385060"/>
          <a:ext cx="1371600" cy="365760"/>
        </a:xfrm>
        <a:prstGeom prst="stripedRightArrow">
          <a:avLst>
            <a:gd name="adj1" fmla="val 56944"/>
            <a:gd name="adj2" fmla="val 7291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 editAs="oneCell">
    <xdr:from>
      <xdr:col>4</xdr:col>
      <xdr:colOff>68580</xdr:colOff>
      <xdr:row>0</xdr:row>
      <xdr:rowOff>533405</xdr:rowOff>
    </xdr:from>
    <xdr:to>
      <xdr:col>13</xdr:col>
      <xdr:colOff>342900</xdr:colOff>
      <xdr:row>8</xdr:row>
      <xdr:rowOff>292423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EE4E945-226A-E76D-BD73-ABB82A169A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63940" y="533405"/>
          <a:ext cx="5760720" cy="2700338"/>
        </a:xfrm>
        <a:prstGeom prst="rect">
          <a:avLst/>
        </a:prstGeom>
      </xdr:spPr>
    </xdr:pic>
    <xdr:clientData/>
  </xdr:twoCellAnchor>
  <xdr:twoCellAnchor>
    <xdr:from>
      <xdr:col>1</xdr:col>
      <xdr:colOff>144780</xdr:colOff>
      <xdr:row>14</xdr:row>
      <xdr:rowOff>38100</xdr:rowOff>
    </xdr:from>
    <xdr:to>
      <xdr:col>2</xdr:col>
      <xdr:colOff>10668</xdr:colOff>
      <xdr:row>14</xdr:row>
      <xdr:rowOff>403860</xdr:rowOff>
    </xdr:to>
    <xdr:sp macro="" textlink="">
      <xdr:nvSpPr>
        <xdr:cNvPr id="10" name="Arrow: Striped Right 9">
          <a:extLst>
            <a:ext uri="{FF2B5EF4-FFF2-40B4-BE49-F238E27FC236}">
              <a16:creationId xmlns:a16="http://schemas.microsoft.com/office/drawing/2014/main" id="{20D28D35-504F-4192-8DAB-6640A2A1E7D7}"/>
            </a:ext>
          </a:extLst>
        </xdr:cNvPr>
        <xdr:cNvSpPr/>
      </xdr:nvSpPr>
      <xdr:spPr>
        <a:xfrm>
          <a:off x="518160" y="4770120"/>
          <a:ext cx="1984248" cy="365760"/>
        </a:xfrm>
        <a:prstGeom prst="stripedRightArrow">
          <a:avLst>
            <a:gd name="adj1" fmla="val 56944"/>
            <a:gd name="adj2" fmla="val 72917"/>
          </a:avLst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5006340</xdr:colOff>
      <xdr:row>5</xdr:row>
      <xdr:rowOff>228600</xdr:rowOff>
    </xdr:from>
    <xdr:to>
      <xdr:col>11</xdr:col>
      <xdr:colOff>259080</xdr:colOff>
      <xdr:row>11</xdr:row>
      <xdr:rowOff>414338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46201A4-A1BE-46B6-B19D-5785598732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14360" y="2209800"/>
          <a:ext cx="5760720" cy="27003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"/>
  <sheetViews>
    <sheetView workbookViewId="0"/>
  </sheetViews>
  <sheetFormatPr defaultRowHeight="14.4" x14ac:dyDescent="0.3"/>
  <sheetData>
    <row r="1" spans="1:5" x14ac:dyDescent="0.3">
      <c r="A1" t="s">
        <v>2</v>
      </c>
      <c r="B1" t="s">
        <v>3</v>
      </c>
      <c r="C1" t="s">
        <v>7</v>
      </c>
      <c r="D1" t="s">
        <v>1</v>
      </c>
      <c r="E1" t="s">
        <v>0</v>
      </c>
    </row>
    <row r="2" spans="1:5" x14ac:dyDescent="0.3">
      <c r="A2" t="s">
        <v>4</v>
      </c>
      <c r="B2" t="s">
        <v>5</v>
      </c>
      <c r="C2" t="s">
        <v>8</v>
      </c>
    </row>
    <row r="3" spans="1:5" x14ac:dyDescent="0.3">
      <c r="C3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0BD70-47B7-4CBA-97C1-94EB73EC062E}">
  <sheetPr>
    <pageSetUpPr fitToPage="1"/>
  </sheetPr>
  <dimension ref="B1:G17"/>
  <sheetViews>
    <sheetView showGridLines="0" tabSelected="1" zoomScaleNormal="100" workbookViewId="0">
      <selection activeCell="C5" sqref="C5"/>
    </sheetView>
  </sheetViews>
  <sheetFormatPr defaultRowHeight="14.4" x14ac:dyDescent="0.3"/>
  <cols>
    <col min="1" max="1" width="3" customWidth="1"/>
    <col min="2" max="2" width="30.88671875" style="2" customWidth="1"/>
    <col min="3" max="3" width="15.77734375" style="1" customWidth="1"/>
    <col min="4" max="4" width="78.33203125" style="2" customWidth="1"/>
  </cols>
  <sheetData>
    <row r="1" spans="2:7" ht="63" customHeight="1" x14ac:dyDescent="0.3"/>
    <row r="2" spans="2:7" ht="36.6" customHeight="1" thickBot="1" x14ac:dyDescent="0.35">
      <c r="B2" s="55" t="s">
        <v>31</v>
      </c>
      <c r="C2" s="55"/>
      <c r="D2" s="55"/>
    </row>
    <row r="3" spans="2:7" s="9" customFormat="1" ht="33" customHeight="1" thickTop="1" thickBot="1" x14ac:dyDescent="0.35">
      <c r="B3" s="41" t="s">
        <v>9</v>
      </c>
      <c r="C3" s="61">
        <v>20</v>
      </c>
      <c r="D3" s="40" t="s">
        <v>30</v>
      </c>
    </row>
    <row r="4" spans="2:7" s="9" customFormat="1" ht="33" customHeight="1" thickTop="1" thickBot="1" x14ac:dyDescent="0.35">
      <c r="B4" s="41" t="s">
        <v>32</v>
      </c>
      <c r="C4" s="43">
        <v>20</v>
      </c>
      <c r="D4" s="40" t="s">
        <v>49</v>
      </c>
    </row>
    <row r="5" spans="2:7" s="9" customFormat="1" ht="33" customHeight="1" thickTop="1" thickBot="1" x14ac:dyDescent="0.35">
      <c r="B5" s="41" t="s">
        <v>26</v>
      </c>
      <c r="C5" s="44">
        <v>32</v>
      </c>
      <c r="D5" s="40" t="s">
        <v>29</v>
      </c>
      <c r="F5" s="37"/>
    </row>
    <row r="6" spans="2:7" s="9" customFormat="1" ht="33" customHeight="1" thickTop="1" thickBot="1" x14ac:dyDescent="0.35">
      <c r="B6" s="35" t="s">
        <v>50</v>
      </c>
      <c r="C6" s="36">
        <f>'Revenues Variables'!B13</f>
        <v>7.900000000000003</v>
      </c>
      <c r="D6" s="40" t="s">
        <v>42</v>
      </c>
    </row>
    <row r="7" spans="2:7" s="9" customFormat="1" ht="33" hidden="1" customHeight="1" thickTop="1" thickBot="1" x14ac:dyDescent="0.35">
      <c r="B7" s="35" t="s">
        <v>27</v>
      </c>
      <c r="C7" s="38" t="e">
        <f>#REF!</f>
        <v>#REF!</v>
      </c>
      <c r="D7" s="40" t="s">
        <v>34</v>
      </c>
    </row>
    <row r="8" spans="2:7" s="9" customFormat="1" ht="33" hidden="1" customHeight="1" thickTop="1" thickBot="1" x14ac:dyDescent="0.35">
      <c r="B8" s="35" t="s">
        <v>28</v>
      </c>
      <c r="C8" s="39" t="e">
        <f>C7-C5</f>
        <v>#REF!</v>
      </c>
      <c r="D8" s="40" t="s">
        <v>33</v>
      </c>
    </row>
    <row r="9" spans="2:7" s="9" customFormat="1" ht="33" customHeight="1" thickTop="1" thickBot="1" x14ac:dyDescent="0.35">
      <c r="B9" s="35" t="s">
        <v>51</v>
      </c>
      <c r="C9" s="36">
        <f>C6*C3</f>
        <v>158.00000000000006</v>
      </c>
      <c r="D9" s="40" t="s">
        <v>46</v>
      </c>
    </row>
    <row r="10" spans="2:7" s="9" customFormat="1" ht="33" customHeight="1" thickTop="1" thickBot="1" x14ac:dyDescent="0.35">
      <c r="B10" s="35" t="s">
        <v>35</v>
      </c>
      <c r="C10" s="46">
        <f>C3*C5+C15*10.3</f>
        <v>691.5</v>
      </c>
      <c r="D10" s="40" t="s">
        <v>36</v>
      </c>
    </row>
    <row r="11" spans="2:7" ht="12" customHeight="1" thickTop="1" x14ac:dyDescent="0.3"/>
    <row r="12" spans="2:7" ht="18" x14ac:dyDescent="0.3">
      <c r="C12" s="45" t="s">
        <v>40</v>
      </c>
    </row>
    <row r="13" spans="2:7" ht="12" customHeight="1" thickBot="1" x14ac:dyDescent="0.35"/>
    <row r="14" spans="2:7" s="9" customFormat="1" ht="33" customHeight="1" thickTop="1" thickBot="1" x14ac:dyDescent="0.35">
      <c r="B14" s="35" t="s">
        <v>24</v>
      </c>
      <c r="C14" s="47">
        <f>'Revenues Variables'!B8+10*C15</f>
        <v>369.40000000000009</v>
      </c>
      <c r="D14" s="53" t="str">
        <f>"Caregiver share: "&amp;ROUND((C3*C4+10*C15)/(C10-10.3*C15),2)*100&amp;"%"&amp;"; If greater than 67% then good"</f>
        <v>Caregiver share: 70%; If greater than 67% then good</v>
      </c>
      <c r="G14" s="54"/>
    </row>
    <row r="15" spans="2:7" s="9" customFormat="1" ht="33" customHeight="1" thickTop="1" thickBot="1" x14ac:dyDescent="0.35">
      <c r="B15" s="35" t="s">
        <v>43</v>
      </c>
      <c r="C15" s="42">
        <v>5</v>
      </c>
      <c r="D15" s="40"/>
    </row>
    <row r="16" spans="2:7" ht="15" thickTop="1" x14ac:dyDescent="0.3"/>
    <row r="17" spans="3:4" ht="18" x14ac:dyDescent="0.3">
      <c r="C17" s="51" t="s">
        <v>41</v>
      </c>
      <c r="D17" s="52"/>
    </row>
  </sheetData>
  <sheetProtection algorithmName="SHA-512" hashValue="N4V2bUBrM8/TIW36TJXnNFbalN//95iPOaYgxXZ7jbjo1df2YM8VRPjCewhnXgK6PQPINEaFQ3nQt9ERolDSgQ==" saltValue="eWBc0tbKe8kaAY/4fYPkBg==" spinCount="100000" sheet="1" objects="1" scenarios="1"/>
  <mergeCells count="1">
    <mergeCell ref="B2:D2"/>
  </mergeCells>
  <conditionalFormatting sqref="C6">
    <cfRule type="cellIs" dxfId="7" priority="13" operator="greaterThan">
      <formula>4</formula>
    </cfRule>
    <cfRule type="cellIs" dxfId="6" priority="14" operator="lessThan">
      <formula>0</formula>
    </cfRule>
    <cfRule type="cellIs" dxfId="5" priority="15" operator="between">
      <formula>4</formula>
      <formula>2</formula>
    </cfRule>
    <cfRule type="cellIs" dxfId="4" priority="16" operator="lessThan">
      <formula>2</formula>
    </cfRule>
  </conditionalFormatting>
  <conditionalFormatting sqref="C9">
    <cfRule type="cellIs" dxfId="3" priority="5" operator="greaterThan">
      <formula>50.01</formula>
    </cfRule>
    <cfRule type="cellIs" dxfId="2" priority="6" operator="lessThan">
      <formula>0</formula>
    </cfRule>
    <cfRule type="cellIs" dxfId="1" priority="7" operator="between">
      <formula>25</formula>
      <formula>50</formula>
    </cfRule>
    <cfRule type="cellIs" dxfId="0" priority="8" operator="lessThan">
      <formula>24.99</formula>
    </cfRule>
  </conditionalFormatting>
  <pageMargins left="0.7" right="0.7" top="0.75" bottom="0.75" header="0.3" footer="0.3"/>
  <pageSetup scale="59" fitToHeight="0" orientation="landscape" r:id="rId1"/>
  <ignoredErrors>
    <ignoredError sqref="C6:C7 C8" unlockedFormula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B604D-3D5C-4258-A7B9-A77D4A8F2396}">
  <dimension ref="A1:J22"/>
  <sheetViews>
    <sheetView workbookViewId="0">
      <selection activeCell="B21" sqref="B21:B22"/>
    </sheetView>
  </sheetViews>
  <sheetFormatPr defaultRowHeight="14.4" x14ac:dyDescent="0.3"/>
  <cols>
    <col min="1" max="1" width="37.6640625" style="2" customWidth="1"/>
    <col min="2" max="2" width="15.77734375" style="1" customWidth="1"/>
    <col min="3" max="3" width="75.77734375" style="2" customWidth="1"/>
    <col min="4" max="5" width="9.21875" bestFit="1" customWidth="1"/>
    <col min="6" max="8" width="10.77734375" bestFit="1" customWidth="1"/>
  </cols>
  <sheetData>
    <row r="1" spans="1:10" ht="15" thickBot="1" x14ac:dyDescent="0.35">
      <c r="A1" s="49"/>
      <c r="B1" s="50"/>
      <c r="C1" s="49"/>
      <c r="D1" s="57" t="s">
        <v>39</v>
      </c>
      <c r="E1" s="58"/>
      <c r="F1" s="58"/>
      <c r="G1" s="58"/>
      <c r="H1" s="59"/>
    </row>
    <row r="2" spans="1:10" ht="42" customHeight="1" thickBot="1" x14ac:dyDescent="0.35">
      <c r="A2" s="56" t="s">
        <v>53</v>
      </c>
      <c r="B2" s="56"/>
      <c r="C2" s="56"/>
      <c r="D2" s="17" t="str">
        <f>"Weekly Census "&amp;B7*10&amp;"Hrs"</f>
        <v>Weekly Census 200Hrs</v>
      </c>
      <c r="E2" s="18" t="str">
        <f>"Weekly Census "&amp;B7*25&amp;"Hrs"</f>
        <v>Weekly Census 500Hrs</v>
      </c>
      <c r="F2" s="19" t="str">
        <f>"Weekly Census "&amp;B7*40&amp;"Hrs"</f>
        <v>Weekly Census 800Hrs</v>
      </c>
      <c r="G2" s="20" t="str">
        <f>"Weekly Census "&amp;B7*60&amp;"Hrs"</f>
        <v>Weekly Census 1200Hrs</v>
      </c>
      <c r="H2" s="21" t="str">
        <f>"Weekly Census "&amp;B7*75&amp;"Hrs"</f>
        <v>Weekly Census 1500Hrs</v>
      </c>
      <c r="J2" s="60" t="s">
        <v>22</v>
      </c>
    </row>
    <row r="3" spans="1:10" s="9" customFormat="1" ht="33" customHeight="1" thickTop="1" thickBot="1" x14ac:dyDescent="0.35">
      <c r="A3" s="6" t="s">
        <v>11</v>
      </c>
      <c r="B3" s="48">
        <f>'Client Rate'!$C$4</f>
        <v>20</v>
      </c>
      <c r="C3" s="12" t="s">
        <v>12</v>
      </c>
      <c r="D3" s="29">
        <f>$B$13*B7*10</f>
        <v>1580.0000000000005</v>
      </c>
      <c r="E3" s="30">
        <f>$B$13*B7*25</f>
        <v>3950.0000000000014</v>
      </c>
      <c r="F3" s="31">
        <f>$B$13*B7*40</f>
        <v>6320.0000000000018</v>
      </c>
      <c r="G3" s="32">
        <f>$B$13*B7*60</f>
        <v>9480.0000000000036</v>
      </c>
      <c r="H3" s="33">
        <f>$B$13*B7*75</f>
        <v>11850.000000000004</v>
      </c>
      <c r="J3" s="60"/>
    </row>
    <row r="4" spans="1:10" ht="33" customHeight="1" thickTop="1" thickBot="1" x14ac:dyDescent="0.35">
      <c r="A4" s="6" t="s">
        <v>52</v>
      </c>
      <c r="B4" s="7">
        <f>(B3)-(0.062*B3)-(0.0145*B3)-(0.12*B3)</f>
        <v>16.070000000000004</v>
      </c>
      <c r="C4" s="12" t="s">
        <v>21</v>
      </c>
      <c r="D4" s="24" t="str">
        <f>"10 Clients "&amp;TEXT(D3*52,"$#,##0")</f>
        <v>10 Clients $82,160</v>
      </c>
      <c r="E4" s="25" t="str">
        <f>"25 Clients "&amp;TEXT(E3*52,"$#,##0")</f>
        <v>25 Clients $205,400</v>
      </c>
      <c r="F4" s="26" t="str">
        <f>"40 Clients "&amp;TEXT(F3*52,"$#,##0")</f>
        <v>40 Clients $328,640</v>
      </c>
      <c r="G4" s="27" t="str">
        <f>"60 Clients "&amp;TEXT(G3*52,"$#,##0")</f>
        <v>60 Clients $492,960</v>
      </c>
      <c r="H4" s="23" t="str">
        <f>"75 Clients "&amp;TEXT(H3*52,"$#,##0")</f>
        <v>75 Clients $616,200</v>
      </c>
      <c r="J4" s="16">
        <f>B4*B7-2</f>
        <v>319.40000000000009</v>
      </c>
    </row>
    <row r="5" spans="1:10" ht="33" customHeight="1" x14ac:dyDescent="0.3">
      <c r="A5" s="6" t="s">
        <v>45</v>
      </c>
      <c r="B5" s="7">
        <f>(B3)+ROUND((0.062*B3),2)+ROUND((0.0145*B3),2)+ROUND((0.01*B3),2)+ROUND((0.006*B3),2)</f>
        <v>21.849999999999998</v>
      </c>
      <c r="C5" s="3" t="s">
        <v>37</v>
      </c>
      <c r="D5" s="22">
        <f>10*$B$7*$B$6*52</f>
        <v>332800</v>
      </c>
      <c r="E5" s="22">
        <f>25*$B$7*$B$6*52</f>
        <v>832000</v>
      </c>
      <c r="F5" s="22">
        <f>40*$B$7*$B$6*52</f>
        <v>1331200</v>
      </c>
      <c r="G5" s="22">
        <f>60*$B$7*$B$6*52</f>
        <v>1996800</v>
      </c>
      <c r="H5" s="22">
        <f>75*$B$7*$B$6*52</f>
        <v>2496000</v>
      </c>
      <c r="I5" s="34" t="s">
        <v>25</v>
      </c>
    </row>
    <row r="6" spans="1:10" s="9" customFormat="1" ht="33" customHeight="1" thickBot="1" x14ac:dyDescent="0.35">
      <c r="A6" s="6" t="s">
        <v>13</v>
      </c>
      <c r="B6" s="15">
        <f>'Client Rate'!C5</f>
        <v>32</v>
      </c>
      <c r="C6" s="12" t="s">
        <v>44</v>
      </c>
    </row>
    <row r="7" spans="1:10" s="9" customFormat="1" ht="33" customHeight="1" thickTop="1" thickBot="1" x14ac:dyDescent="0.35">
      <c r="A7" s="6" t="s">
        <v>9</v>
      </c>
      <c r="B7" s="62">
        <f>'Client Rate'!$C$3</f>
        <v>20</v>
      </c>
      <c r="C7" s="12"/>
      <c r="G7" s="14"/>
    </row>
    <row r="8" spans="1:10" s="9" customFormat="1" ht="33" customHeight="1" thickTop="1" x14ac:dyDescent="0.3">
      <c r="A8" s="6" t="s">
        <v>24</v>
      </c>
      <c r="B8" s="7">
        <f>(B4*B7)-2</f>
        <v>319.40000000000009</v>
      </c>
      <c r="C8" s="3" t="s">
        <v>38</v>
      </c>
    </row>
    <row r="9" spans="1:10" s="9" customFormat="1" ht="33" customHeight="1" x14ac:dyDescent="0.3">
      <c r="A9" s="6" t="s">
        <v>55</v>
      </c>
      <c r="B9" s="7">
        <f>B7*B5</f>
        <v>436.99999999999994</v>
      </c>
      <c r="C9" s="12" t="s">
        <v>10</v>
      </c>
    </row>
    <row r="10" spans="1:10" s="9" customFormat="1" ht="33" customHeight="1" x14ac:dyDescent="0.3">
      <c r="A10" s="6" t="s">
        <v>47</v>
      </c>
      <c r="B10" s="7">
        <f>2*B7+5</f>
        <v>45</v>
      </c>
      <c r="C10" s="12" t="s">
        <v>48</v>
      </c>
    </row>
    <row r="11" spans="1:10" s="9" customFormat="1" ht="33" customHeight="1" x14ac:dyDescent="0.3">
      <c r="A11" s="6" t="s">
        <v>16</v>
      </c>
      <c r="B11" s="7">
        <f>'Client Rate'!C10</f>
        <v>691.5</v>
      </c>
      <c r="C11" s="12" t="s">
        <v>20</v>
      </c>
    </row>
    <row r="12" spans="1:10" s="9" customFormat="1" ht="33" customHeight="1" x14ac:dyDescent="0.3">
      <c r="A12" s="6" t="s">
        <v>56</v>
      </c>
      <c r="B12" s="13">
        <f>B6-B5</f>
        <v>10.150000000000002</v>
      </c>
      <c r="C12" s="12" t="s">
        <v>18</v>
      </c>
    </row>
    <row r="13" spans="1:10" s="9" customFormat="1" ht="33" customHeight="1" x14ac:dyDescent="0.3">
      <c r="A13" s="6" t="s">
        <v>23</v>
      </c>
      <c r="B13" s="13">
        <f>B14/B7</f>
        <v>7.900000000000003</v>
      </c>
      <c r="C13" s="12" t="s">
        <v>54</v>
      </c>
    </row>
    <row r="14" spans="1:10" s="9" customFormat="1" ht="33" customHeight="1" x14ac:dyDescent="0.3">
      <c r="A14" s="6" t="s">
        <v>14</v>
      </c>
      <c r="B14" s="13">
        <f>B11-B9-B10-'Client Rate'!C15*10.3</f>
        <v>158.00000000000006</v>
      </c>
      <c r="C14" s="12" t="s">
        <v>54</v>
      </c>
    </row>
    <row r="15" spans="1:10" ht="18" x14ac:dyDescent="0.3">
      <c r="A15" s="6" t="s">
        <v>15</v>
      </c>
      <c r="B15" s="13">
        <f>B14*4.3333</f>
        <v>684.6614000000003</v>
      </c>
      <c r="C15" s="12" t="s">
        <v>19</v>
      </c>
    </row>
    <row r="16" spans="1:10" ht="18" x14ac:dyDescent="0.3">
      <c r="A16" s="6" t="s">
        <v>17</v>
      </c>
      <c r="B16" s="13">
        <f>B15*12</f>
        <v>8215.9368000000031</v>
      </c>
      <c r="C16" s="12" t="s">
        <v>19</v>
      </c>
      <c r="D16" s="10"/>
      <c r="E16" s="11"/>
    </row>
    <row r="17" spans="1:3" ht="18" x14ac:dyDescent="0.35">
      <c r="A17" s="5"/>
      <c r="B17" s="8"/>
      <c r="C17" s="4"/>
    </row>
    <row r="18" spans="1:3" x14ac:dyDescent="0.3">
      <c r="A18" s="10"/>
      <c r="B18" s="10"/>
      <c r="C18" s="10"/>
    </row>
    <row r="20" spans="1:3" ht="15.6" x14ac:dyDescent="0.3">
      <c r="B20" s="28"/>
      <c r="C20" s="12"/>
    </row>
    <row r="21" spans="1:3" x14ac:dyDescent="0.3">
      <c r="B21" s="63"/>
    </row>
    <row r="22" spans="1:3" x14ac:dyDescent="0.3">
      <c r="B22" s="28"/>
    </row>
  </sheetData>
  <sheetProtection algorithmName="SHA-512" hashValue="HjGli5bnodcSbndgONbsr0AHOP3eSprVeL/Ji5sbsFHXRVvkO3ACQZqwgFcMulqp0tvZTCLOuPI9lM9VbWBzwg==" saltValue="3GLPNPaaQFnC/xj0mtiSXQ==" spinCount="100000" sheet="1" objects="1" scenarios="1"/>
  <mergeCells count="3">
    <mergeCell ref="A2:C2"/>
    <mergeCell ref="D1:H1"/>
    <mergeCell ref="J2:J3"/>
  </mergeCells>
  <pageMargins left="0.7" right="0.7" top="0.75" bottom="0.75" header="0.3" footer="0.3"/>
  <pageSetup orientation="portrait" r:id="rId1"/>
  <ignoredErrors>
    <ignoredError sqref="B6" unlocked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Client Rate</vt:lpstr>
      <vt:lpstr>Revenues Variables</vt:lpstr>
      <vt:lpstr>'Client Rate'!Print_Area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Jeffrey Fry</dc:creator>
  <cp:lastModifiedBy>Jeffrey Fry</cp:lastModifiedBy>
  <dcterms:created xsi:type="dcterms:W3CDTF">2012-03-07T00:38:36Z</dcterms:created>
  <dcterms:modified xsi:type="dcterms:W3CDTF">2024-11-21T20:04:10Z</dcterms:modified>
</cp:coreProperties>
</file>